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L\vyuka\PLAZMA\cviceni\cvic21\"/>
    </mc:Choice>
  </mc:AlternateContent>
  <xr:revisionPtr revIDLastSave="0" documentId="13_ncr:1_{28E32E62-923D-4B34-BD79-D28D36599171}" xr6:coauthVersionLast="36" xr6:coauthVersionMax="36" xr10:uidLastSave="{00000000-0000-0000-0000-000000000000}"/>
  <bookViews>
    <workbookView xWindow="0" yWindow="0" windowWidth="17256" windowHeight="5076" xr2:uid="{7ED11D2F-BD41-49E2-9697-B0953A42D69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0" i="1"/>
  <c r="S29" i="1" l="1"/>
  <c r="P29" i="1"/>
  <c r="T4" i="1"/>
  <c r="L2" i="1"/>
  <c r="U26" i="1"/>
  <c r="R26" i="1"/>
  <c r="R25" i="1"/>
  <c r="S22" i="1"/>
  <c r="U22" i="1" s="1"/>
  <c r="S17" i="1"/>
  <c r="U17" i="1" s="1"/>
  <c r="V12" i="1"/>
  <c r="R7" i="1"/>
  <c r="U7" i="1" s="1"/>
  <c r="V1" i="1"/>
  <c r="U2" i="1"/>
  <c r="L5" i="1" l="1"/>
  <c r="L4" i="1"/>
  <c r="L3" i="1"/>
  <c r="K36" i="1" l="1"/>
  <c r="H36" i="1"/>
  <c r="H35" i="1" l="1"/>
  <c r="K35" i="1" s="1"/>
  <c r="J38" i="1" l="1"/>
  <c r="J39" i="1" s="1"/>
  <c r="K30" i="1"/>
  <c r="K29" i="1"/>
  <c r="K28" i="1"/>
  <c r="K27" i="1"/>
  <c r="J30" i="1"/>
  <c r="J28" i="1"/>
  <c r="J29" i="1"/>
  <c r="J27" i="1"/>
  <c r="J25" i="1"/>
  <c r="J24" i="1"/>
  <c r="J23" i="1"/>
  <c r="J22" i="1" l="1"/>
  <c r="H21" i="1"/>
  <c r="H18" i="1"/>
  <c r="J18" i="1" s="1"/>
  <c r="H17" i="1"/>
  <c r="H20" i="1" s="1"/>
  <c r="J17" i="1" l="1"/>
  <c r="K15" i="1" l="1"/>
  <c r="K14" i="1"/>
  <c r="K13" i="1"/>
  <c r="K12" i="1"/>
  <c r="J10" i="1" l="1"/>
  <c r="J9" i="1"/>
  <c r="J8" i="1"/>
  <c r="J7" i="1"/>
  <c r="G10" i="1"/>
  <c r="G9" i="1"/>
  <c r="G8" i="1"/>
  <c r="G7" i="1"/>
  <c r="J5" i="1" l="1"/>
  <c r="J4" i="1"/>
  <c r="J3" i="1"/>
  <c r="J2" i="1"/>
</calcChain>
</file>

<file path=xl/sharedStrings.xml><?xml version="1.0" encoding="utf-8"?>
<sst xmlns="http://schemas.openxmlformats.org/spreadsheetml/2006/main" count="188" uniqueCount="105">
  <si>
    <t>eps_0</t>
  </si>
  <si>
    <t>k_B</t>
  </si>
  <si>
    <t xml:space="preserve">e </t>
  </si>
  <si>
    <t>T_e</t>
  </si>
  <si>
    <t>n_e</t>
  </si>
  <si>
    <t>keV</t>
  </si>
  <si>
    <t>m</t>
  </si>
  <si>
    <t>m_e</t>
  </si>
  <si>
    <t>C</t>
  </si>
  <si>
    <t>kg</t>
  </si>
  <si>
    <t>omg_pe</t>
  </si>
  <si>
    <t>s^-1</t>
  </si>
  <si>
    <t>lam</t>
  </si>
  <si>
    <t xml:space="preserve">c </t>
  </si>
  <si>
    <t>[m-3]</t>
  </si>
  <si>
    <t>m^-3</t>
  </si>
  <si>
    <t>N_D</t>
  </si>
  <si>
    <t>laser high T</t>
  </si>
  <si>
    <t>laser low T</t>
  </si>
  <si>
    <t>pinch</t>
  </si>
  <si>
    <t>Elektronová Debyova délka</t>
  </si>
  <si>
    <t xml:space="preserve">T_e/Compass </t>
  </si>
  <si>
    <t>Elektronová plazmová frekvance</t>
  </si>
  <si>
    <t>Plazmový parametr N_D</t>
  </si>
  <si>
    <t>Tepelná rychlost</t>
  </si>
  <si>
    <t>v_Te</t>
  </si>
  <si>
    <t>m/s</t>
  </si>
  <si>
    <t>c</t>
  </si>
  <si>
    <t>Landauova delka</t>
  </si>
  <si>
    <t>b_0</t>
  </si>
  <si>
    <t>Bohr r</t>
  </si>
  <si>
    <t>Coulombův logaritmus</t>
  </si>
  <si>
    <t>ln(Lam)</t>
  </si>
  <si>
    <t>lam_de</t>
  </si>
  <si>
    <t>velke uhly</t>
  </si>
  <si>
    <t>male uhly</t>
  </si>
  <si>
    <t>xxxxxxxxxxxxxxxxxxxxxxxxxxxxxx</t>
  </si>
  <si>
    <t>B</t>
  </si>
  <si>
    <t>T</t>
  </si>
  <si>
    <t>omg_ce</t>
  </si>
  <si>
    <t>perioda</t>
  </si>
  <si>
    <t>s</t>
  </si>
  <si>
    <t>1 keV</t>
  </si>
  <si>
    <t>r_L</t>
  </si>
  <si>
    <t>\mu</t>
  </si>
  <si>
    <t>A.cm2</t>
  </si>
  <si>
    <t xml:space="preserve">Bohr magneton </t>
  </si>
  <si>
    <t>omg_ci</t>
  </si>
  <si>
    <t>protony</t>
  </si>
  <si>
    <t>m_p</t>
  </si>
  <si>
    <t>J/keV</t>
  </si>
  <si>
    <t>F/m</t>
  </si>
  <si>
    <t>elny</t>
  </si>
  <si>
    <t>Mag.moment</t>
  </si>
  <si>
    <t>pro srážku e s e nebo iontem s nábojem 1</t>
  </si>
  <si>
    <t>r_se</t>
  </si>
  <si>
    <t>glow</t>
  </si>
  <si>
    <t>1 mbar</t>
  </si>
  <si>
    <t>Neon</t>
  </si>
  <si>
    <t>N_0</t>
  </si>
  <si>
    <t>m-3</t>
  </si>
  <si>
    <t>relat.ioniz</t>
  </si>
  <si>
    <t>Sražky s neutrály</t>
  </si>
  <si>
    <t>Collisions with neutrals</t>
  </si>
  <si>
    <t>Bohr radius</t>
  </si>
  <si>
    <t>pi*a0^2</t>
  </si>
  <si>
    <t>m^2</t>
  </si>
  <si>
    <t>cm^2</t>
  </si>
  <si>
    <t>cross section</t>
  </si>
  <si>
    <t>e-Neon</t>
  </si>
  <si>
    <t>l_mfp</t>
  </si>
  <si>
    <t>volná dráha</t>
  </si>
  <si>
    <t>1/(cs*N0)</t>
  </si>
  <si>
    <t>srážk.frek.</t>
  </si>
  <si>
    <t>\nu_eN</t>
  </si>
  <si>
    <t>v_te/l_mfp</t>
  </si>
  <si>
    <t>t</t>
  </si>
  <si>
    <t>pot.en</t>
  </si>
  <si>
    <t>eV</t>
  </si>
  <si>
    <t>at r_s</t>
  </si>
  <si>
    <t>E_pot/T_e</t>
  </si>
  <si>
    <t>T_i</t>
  </si>
  <si>
    <t>Electron Debye length</t>
  </si>
  <si>
    <t>Electron plasma frequency</t>
  </si>
  <si>
    <t>Plasma parameter</t>
  </si>
  <si>
    <t>Thermal velocity</t>
  </si>
  <si>
    <t xml:space="preserve">Landau length </t>
  </si>
  <si>
    <t>for e-e  or  e-i(Z=1)  collision</t>
  </si>
  <si>
    <t>Coulomb logarithm</t>
  </si>
  <si>
    <t>Srážková frekvence - e-e, e-i(Z=1)</t>
  </si>
  <si>
    <t>Collision frequency</t>
  </si>
  <si>
    <t>large angles</t>
  </si>
  <si>
    <t>small angles</t>
  </si>
  <si>
    <t xml:space="preserve">Cyklotronová frekvence </t>
  </si>
  <si>
    <t>Cycclotron frequency</t>
  </si>
  <si>
    <t>electron</t>
  </si>
  <si>
    <t>Larmor radius</t>
  </si>
  <si>
    <t>účinný průřez</t>
  </si>
  <si>
    <t>mean free path</t>
  </si>
  <si>
    <t>coll. Frequency</t>
  </si>
  <si>
    <t>typicky</t>
  </si>
  <si>
    <t>Experiment</t>
  </si>
  <si>
    <t>pinch (DMP)</t>
  </si>
  <si>
    <t>elmg. Wavelength</t>
  </si>
  <si>
    <t>J/T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</si>
</sst>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396C-2F53-4798-95E0-0069B2C7B561}">
  <dimension ref="A1:V42"/>
  <sheetViews>
    <sheetView tabSelected="1" topLeftCell="A16" workbookViewId="0">
      <selection activeCell="E42" sqref="E42"/>
    </sheetView>
  </sheetViews>
  <sheetFormatPr defaultRowHeight="14.4" x14ac:dyDescent="0.3"/>
  <cols>
    <col min="4" max="4" width="14.88671875" customWidth="1"/>
    <col min="8" max="8" width="11" bestFit="1" customWidth="1"/>
    <col min="9" max="9" width="9.6640625" customWidth="1"/>
    <col min="10" max="10" width="12" bestFit="1" customWidth="1"/>
    <col min="12" max="12" width="12" bestFit="1" customWidth="1"/>
    <col min="13" max="13" width="12.109375" customWidth="1"/>
    <col min="14" max="14" width="14.6640625" customWidth="1"/>
    <col min="16" max="16" width="10.33203125" customWidth="1"/>
    <col min="20" max="21" width="12" bestFit="1" customWidth="1"/>
  </cols>
  <sheetData>
    <row r="1" spans="1:22" x14ac:dyDescent="0.3">
      <c r="A1" t="s">
        <v>20</v>
      </c>
      <c r="D1" t="s">
        <v>101</v>
      </c>
      <c r="I1" t="s">
        <v>82</v>
      </c>
      <c r="L1" t="s">
        <v>55</v>
      </c>
      <c r="O1" t="s">
        <v>56</v>
      </c>
      <c r="P1" t="s">
        <v>57</v>
      </c>
      <c r="Q1" t="s">
        <v>58</v>
      </c>
      <c r="R1" t="s">
        <v>59</v>
      </c>
      <c r="S1" s="1">
        <v>2.6510000000000001E+22</v>
      </c>
      <c r="T1" t="s">
        <v>60</v>
      </c>
      <c r="U1" t="s">
        <v>61</v>
      </c>
      <c r="V1" s="1">
        <f>S2/S1</f>
        <v>3.7721614485099963E-7</v>
      </c>
    </row>
    <row r="2" spans="1:22" x14ac:dyDescent="0.3">
      <c r="A2" t="s">
        <v>0</v>
      </c>
      <c r="B2" s="1">
        <v>8.8539999999999992E-12</v>
      </c>
      <c r="C2" t="s">
        <v>51</v>
      </c>
      <c r="D2" t="s">
        <v>21</v>
      </c>
      <c r="E2">
        <v>1</v>
      </c>
      <c r="F2" t="s">
        <v>5</v>
      </c>
      <c r="G2" t="s">
        <v>4</v>
      </c>
      <c r="H2" s="1">
        <v>8E+19</v>
      </c>
      <c r="I2" t="s">
        <v>33</v>
      </c>
      <c r="J2">
        <f>($B$2*$B$3*E2/$B$4^2/H2)^0.5</f>
        <v>2.6284124125101075E-5</v>
      </c>
      <c r="K2" t="s">
        <v>6</v>
      </c>
      <c r="L2">
        <f>(0.75/PI()/H2)^0.3333</f>
        <v>1.4419758065410906E-7</v>
      </c>
      <c r="M2" t="s">
        <v>6</v>
      </c>
      <c r="O2" t="s">
        <v>3</v>
      </c>
      <c r="P2">
        <v>1E-3</v>
      </c>
      <c r="Q2" t="s">
        <v>5</v>
      </c>
      <c r="R2" t="s">
        <v>4</v>
      </c>
      <c r="S2" s="1">
        <v>1E+16</v>
      </c>
      <c r="T2" t="s">
        <v>33</v>
      </c>
      <c r="U2">
        <f>($B$2*$B$3*P2/$B$4^2/S2)^0.5</f>
        <v>7.4342729625631601E-5</v>
      </c>
      <c r="V2" t="s">
        <v>6</v>
      </c>
    </row>
    <row r="3" spans="1:22" x14ac:dyDescent="0.3">
      <c r="A3" t="s">
        <v>1</v>
      </c>
      <c r="B3" s="1">
        <v>1.6019999999999999E-16</v>
      </c>
      <c r="C3" t="s">
        <v>50</v>
      </c>
      <c r="D3" t="s">
        <v>17</v>
      </c>
      <c r="E3">
        <v>1</v>
      </c>
      <c r="H3" s="1">
        <v>1E+27</v>
      </c>
      <c r="J3">
        <f>($B$2*$B$3*E3/$B$4^2/H3)^0.5</f>
        <v>7.4342729625631595E-9</v>
      </c>
      <c r="K3" t="s">
        <v>6</v>
      </c>
      <c r="L3">
        <f t="shared" ref="L3:L5" si="0">(0.75/PI()/H3)^0.3333</f>
        <v>6.2166707476252129E-10</v>
      </c>
      <c r="M3" t="s">
        <v>6</v>
      </c>
    </row>
    <row r="4" spans="1:22" x14ac:dyDescent="0.3">
      <c r="A4" t="s">
        <v>2</v>
      </c>
      <c r="B4" s="1">
        <v>1.602E-19</v>
      </c>
      <c r="C4" t="s">
        <v>8</v>
      </c>
      <c r="D4" t="s">
        <v>18</v>
      </c>
      <c r="E4">
        <v>0.1</v>
      </c>
      <c r="H4" s="1">
        <v>1E+27</v>
      </c>
      <c r="J4">
        <f>($B$2*$B$3*E4/$B$4^2/H4)^0.5</f>
        <v>2.3509235309107273E-9</v>
      </c>
      <c r="L4">
        <f t="shared" si="0"/>
        <v>6.2166707476252129E-10</v>
      </c>
      <c r="M4" t="s">
        <v>6</v>
      </c>
      <c r="S4" t="s">
        <v>55</v>
      </c>
      <c r="T4">
        <f>(0.75/PI()/S2)^0.3333</f>
        <v>2.883087787785838E-6</v>
      </c>
      <c r="U4" t="s">
        <v>6</v>
      </c>
    </row>
    <row r="5" spans="1:22" x14ac:dyDescent="0.3">
      <c r="A5" t="s">
        <v>7</v>
      </c>
      <c r="B5" s="1">
        <v>9.1079999999999999E-31</v>
      </c>
      <c r="C5" t="s">
        <v>9</v>
      </c>
      <c r="D5" t="s">
        <v>102</v>
      </c>
      <c r="E5">
        <v>0.1</v>
      </c>
      <c r="H5" s="1">
        <v>9.9999999999999998E+23</v>
      </c>
      <c r="J5">
        <f>($B$2*$B$3*E5/$B$4^2/H5)^0.5</f>
        <v>7.43427296256316E-8</v>
      </c>
      <c r="L5">
        <f t="shared" si="0"/>
        <v>6.2152394710742029E-9</v>
      </c>
      <c r="M5" t="s">
        <v>6</v>
      </c>
    </row>
    <row r="6" spans="1:22" x14ac:dyDescent="0.3">
      <c r="A6" t="s">
        <v>22</v>
      </c>
      <c r="E6" t="s">
        <v>83</v>
      </c>
      <c r="I6" t="s">
        <v>103</v>
      </c>
    </row>
    <row r="7" spans="1:22" x14ac:dyDescent="0.3">
      <c r="A7" t="s">
        <v>13</v>
      </c>
      <c r="B7" s="1">
        <v>299700000</v>
      </c>
      <c r="C7" t="s">
        <v>26</v>
      </c>
      <c r="D7" t="s">
        <v>4</v>
      </c>
      <c r="E7" s="1">
        <v>8E+19</v>
      </c>
      <c r="F7" t="s">
        <v>10</v>
      </c>
      <c r="G7">
        <f>($B$4^2*E7/$B$2/$B$5)^0.5</f>
        <v>504575588549.90295</v>
      </c>
      <c r="H7" t="s">
        <v>11</v>
      </c>
      <c r="I7" t="s">
        <v>12</v>
      </c>
      <c r="J7" s="1">
        <f>$B$7*2*PI()/G7</f>
        <v>3.7319891792099349E-3</v>
      </c>
      <c r="K7" t="s">
        <v>6</v>
      </c>
      <c r="O7" t="s">
        <v>4</v>
      </c>
      <c r="P7" s="1">
        <v>1E+16</v>
      </c>
      <c r="Q7" t="s">
        <v>10</v>
      </c>
      <c r="R7">
        <f>($B$4^2*P7/$B$2/$B$5)^0.5</f>
        <v>5641326578.9227371</v>
      </c>
      <c r="S7" t="s">
        <v>11</v>
      </c>
      <c r="T7" t="s">
        <v>12</v>
      </c>
      <c r="U7" s="1">
        <f>$B$7*2*PI()/R7</f>
        <v>0.33379925984028241</v>
      </c>
    </row>
    <row r="8" spans="1:22" x14ac:dyDescent="0.3">
      <c r="A8" t="s">
        <v>49</v>
      </c>
      <c r="B8" s="1">
        <v>1.6700000000000002E-27</v>
      </c>
      <c r="C8" t="s">
        <v>9</v>
      </c>
      <c r="D8" t="s">
        <v>14</v>
      </c>
      <c r="E8" s="1">
        <v>1E+27</v>
      </c>
      <c r="G8">
        <f t="shared" ref="G8" si="1">($B$4^2*E8/$B$2/$B$5)^0.5</f>
        <v>1783944101424148.3</v>
      </c>
      <c r="H8" t="s">
        <v>11</v>
      </c>
      <c r="J8" s="1">
        <f t="shared" ref="J8:J10" si="2">$B$7*2*PI()/G8</f>
        <v>1.055565942373665E-6</v>
      </c>
      <c r="K8" t="s">
        <v>6</v>
      </c>
    </row>
    <row r="9" spans="1:22" x14ac:dyDescent="0.3">
      <c r="A9" t="s">
        <v>30</v>
      </c>
      <c r="B9" s="1">
        <v>5.29E-11</v>
      </c>
      <c r="C9" t="s">
        <v>6</v>
      </c>
      <c r="E9" s="1">
        <v>9.9999999999999998E+23</v>
      </c>
      <c r="G9">
        <f t="shared" ref="G9:G10" si="3">($B$4^2*E9/$B$2/$B$5)^0.5</f>
        <v>56413265789227.375</v>
      </c>
      <c r="H9" t="s">
        <v>11</v>
      </c>
      <c r="J9" s="1">
        <f t="shared" si="2"/>
        <v>3.3379925984028238E-5</v>
      </c>
      <c r="K9" t="s">
        <v>6</v>
      </c>
    </row>
    <row r="10" spans="1:22" x14ac:dyDescent="0.3">
      <c r="E10" s="1">
        <v>9.9999999999999991E+28</v>
      </c>
      <c r="G10">
        <f t="shared" si="3"/>
        <v>1.783944101424148E+16</v>
      </c>
      <c r="H10" t="s">
        <v>11</v>
      </c>
      <c r="J10" s="1">
        <f t="shared" si="2"/>
        <v>1.0555659423736651E-7</v>
      </c>
      <c r="K10" t="s">
        <v>6</v>
      </c>
    </row>
    <row r="11" spans="1:22" x14ac:dyDescent="0.3">
      <c r="A11" t="s">
        <v>23</v>
      </c>
      <c r="J11" t="s">
        <v>84</v>
      </c>
    </row>
    <row r="12" spans="1:22" x14ac:dyDescent="0.3">
      <c r="D12" t="s">
        <v>3</v>
      </c>
      <c r="E12">
        <v>1</v>
      </c>
      <c r="F12" t="s">
        <v>5</v>
      </c>
      <c r="G12" t="s">
        <v>4</v>
      </c>
      <c r="H12" s="1">
        <v>8E+19</v>
      </c>
      <c r="I12" t="s">
        <v>15</v>
      </c>
      <c r="J12" s="1" t="s">
        <v>16</v>
      </c>
      <c r="K12" s="1">
        <f>1.3333*PI()*J2^3*H12</f>
        <v>6084827.448324237</v>
      </c>
      <c r="O12" t="s">
        <v>3</v>
      </c>
      <c r="P12">
        <v>1E-3</v>
      </c>
      <c r="Q12" t="s">
        <v>5</v>
      </c>
      <c r="R12" t="s">
        <v>4</v>
      </c>
      <c r="S12" s="1">
        <v>1E+16</v>
      </c>
      <c r="U12" t="s">
        <v>16</v>
      </c>
      <c r="V12" s="1">
        <f>1.3333*PI()*U2^3*S12</f>
        <v>17210.491004240415</v>
      </c>
    </row>
    <row r="13" spans="1:22" x14ac:dyDescent="0.3">
      <c r="E13">
        <v>1</v>
      </c>
      <c r="H13" s="1">
        <v>1E+27</v>
      </c>
      <c r="J13" s="1"/>
      <c r="K13" s="1">
        <f t="shared" ref="K13:K15" si="4">1.3333*PI()*J3^3*H13</f>
        <v>1721.0491004240412</v>
      </c>
    </row>
    <row r="14" spans="1:22" x14ac:dyDescent="0.3">
      <c r="E14">
        <v>0.1</v>
      </c>
      <c r="H14" s="1">
        <v>1E+27</v>
      </c>
      <c r="J14" s="1"/>
      <c r="K14" s="1">
        <f t="shared" si="4"/>
        <v>54.424351223238311</v>
      </c>
    </row>
    <row r="15" spans="1:22" x14ac:dyDescent="0.3">
      <c r="E15">
        <v>0.1</v>
      </c>
      <c r="H15" s="1">
        <v>9.9999999999999998E+23</v>
      </c>
      <c r="J15" s="1"/>
      <c r="K15" s="1">
        <f t="shared" si="4"/>
        <v>1721.0491004240414</v>
      </c>
    </row>
    <row r="16" spans="1:22" x14ac:dyDescent="0.3">
      <c r="A16" t="s">
        <v>24</v>
      </c>
      <c r="G16" t="s">
        <v>85</v>
      </c>
    </row>
    <row r="17" spans="1:22" x14ac:dyDescent="0.3">
      <c r="D17" t="s">
        <v>3</v>
      </c>
      <c r="E17">
        <v>1</v>
      </c>
      <c r="F17" t="s">
        <v>5</v>
      </c>
      <c r="G17" t="s">
        <v>25</v>
      </c>
      <c r="H17" s="1">
        <f>($B$3*E17/$B$5)^0.5</f>
        <v>13262327.399941577</v>
      </c>
      <c r="I17" t="s">
        <v>26</v>
      </c>
      <c r="J17" s="1">
        <f>H17/$B$7</f>
        <v>4.4252010009815074E-2</v>
      </c>
      <c r="K17" t="s">
        <v>27</v>
      </c>
      <c r="O17" t="s">
        <v>3</v>
      </c>
      <c r="P17">
        <v>1E-3</v>
      </c>
      <c r="Q17" t="s">
        <v>5</v>
      </c>
      <c r="R17" t="s">
        <v>25</v>
      </c>
      <c r="S17" s="1">
        <f>($B$3*P17/$B$5)^0.5</f>
        <v>419391.6165867424</v>
      </c>
      <c r="T17" t="s">
        <v>26</v>
      </c>
      <c r="U17" s="1">
        <f>S17/$B$7</f>
        <v>1.3993714267158573E-3</v>
      </c>
      <c r="V17" t="s">
        <v>27</v>
      </c>
    </row>
    <row r="18" spans="1:22" x14ac:dyDescent="0.3">
      <c r="E18">
        <v>0.1</v>
      </c>
      <c r="H18" s="1">
        <f>($B$3*E18/$B$5)^0.5</f>
        <v>4193916.1658674236</v>
      </c>
      <c r="I18" t="s">
        <v>26</v>
      </c>
      <c r="J18" s="1">
        <f>H18/$B$7</f>
        <v>1.399371426715857E-2</v>
      </c>
      <c r="K18" t="s">
        <v>27</v>
      </c>
    </row>
    <row r="19" spans="1:22" x14ac:dyDescent="0.3">
      <c r="A19" t="s">
        <v>28</v>
      </c>
      <c r="C19" t="s">
        <v>54</v>
      </c>
      <c r="G19" t="s">
        <v>86</v>
      </c>
      <c r="I19" t="s">
        <v>87</v>
      </c>
    </row>
    <row r="20" spans="1:22" x14ac:dyDescent="0.3">
      <c r="D20" t="s">
        <v>3</v>
      </c>
      <c r="E20">
        <v>1</v>
      </c>
      <c r="F20" t="s">
        <v>5</v>
      </c>
      <c r="G20" t="s">
        <v>29</v>
      </c>
      <c r="H20" s="1">
        <f>$B$4^2/2/PI()/$B$2/$B$5/H17^2</f>
        <v>2.879672677131425E-12</v>
      </c>
      <c r="I20" t="s">
        <v>6</v>
      </c>
    </row>
    <row r="21" spans="1:22" x14ac:dyDescent="0.3">
      <c r="E21">
        <v>0.1</v>
      </c>
      <c r="G21" t="s">
        <v>29</v>
      </c>
      <c r="H21" s="1">
        <f>$B$4^2/2/PI()/$B$2/$B$5/H18^2</f>
        <v>2.879672677131425E-11</v>
      </c>
      <c r="I21" t="s">
        <v>6</v>
      </c>
      <c r="O21" t="s">
        <v>62</v>
      </c>
      <c r="R21" t="s">
        <v>63</v>
      </c>
    </row>
    <row r="22" spans="1:22" x14ac:dyDescent="0.3">
      <c r="A22" t="s">
        <v>31</v>
      </c>
      <c r="D22" t="s">
        <v>21</v>
      </c>
      <c r="E22">
        <v>1</v>
      </c>
      <c r="F22" t="s">
        <v>5</v>
      </c>
      <c r="G22" t="s">
        <v>4</v>
      </c>
      <c r="H22" s="1">
        <v>8E+19</v>
      </c>
      <c r="I22" t="s">
        <v>32</v>
      </c>
      <c r="J22">
        <f>LN(J2/H20)</f>
        <v>16.026799035532353</v>
      </c>
      <c r="N22" t="s">
        <v>64</v>
      </c>
      <c r="P22" s="1">
        <v>5.29E-11</v>
      </c>
      <c r="Q22" t="s">
        <v>6</v>
      </c>
      <c r="R22" t="s">
        <v>65</v>
      </c>
      <c r="S22" s="1">
        <f>PI()*P22^2</f>
        <v>8.7914642977322127E-21</v>
      </c>
      <c r="T22" t="s">
        <v>66</v>
      </c>
      <c r="U22" s="1">
        <f>S22*10000</f>
        <v>8.791464297732213E-17</v>
      </c>
      <c r="V22" t="s">
        <v>67</v>
      </c>
    </row>
    <row r="23" spans="1:22" x14ac:dyDescent="0.3">
      <c r="A23" t="s">
        <v>88</v>
      </c>
      <c r="D23" t="s">
        <v>17</v>
      </c>
      <c r="E23">
        <v>1</v>
      </c>
      <c r="H23" s="1">
        <v>1E+27</v>
      </c>
      <c r="J23">
        <f>LN(J3/H20)</f>
        <v>7.8561794343960862</v>
      </c>
    </row>
    <row r="24" spans="1:22" x14ac:dyDescent="0.3">
      <c r="D24" t="s">
        <v>18</v>
      </c>
      <c r="E24">
        <v>0.1</v>
      </c>
      <c r="H24" s="1">
        <v>1E+27</v>
      </c>
      <c r="J24">
        <f>LN(J4/H21)</f>
        <v>4.4023017949050178</v>
      </c>
      <c r="M24" t="s">
        <v>97</v>
      </c>
      <c r="N24" t="s">
        <v>68</v>
      </c>
      <c r="O24" t="s">
        <v>100</v>
      </c>
      <c r="Q24" t="s">
        <v>69</v>
      </c>
      <c r="R24" s="1">
        <v>3.0000000000000003E-20</v>
      </c>
      <c r="S24" t="s">
        <v>66</v>
      </c>
    </row>
    <row r="25" spans="1:22" x14ac:dyDescent="0.3">
      <c r="D25" t="s">
        <v>19</v>
      </c>
      <c r="E25">
        <v>0.1</v>
      </c>
      <c r="H25" s="1">
        <v>9.9999999999999998E+23</v>
      </c>
      <c r="J25">
        <f>LN(J5/H21)</f>
        <v>7.8561794343960862</v>
      </c>
      <c r="M25" t="s">
        <v>71</v>
      </c>
      <c r="N25" t="s">
        <v>98</v>
      </c>
      <c r="O25" t="s">
        <v>70</v>
      </c>
      <c r="P25" t="s">
        <v>72</v>
      </c>
      <c r="R25" s="1">
        <f>1/$S$1/$R$24</f>
        <v>1.2573871495033318E-3</v>
      </c>
      <c r="S25" t="s">
        <v>6</v>
      </c>
    </row>
    <row r="26" spans="1:22" x14ac:dyDescent="0.3">
      <c r="A26" t="s">
        <v>89</v>
      </c>
      <c r="J26" t="s">
        <v>34</v>
      </c>
      <c r="K26" t="s">
        <v>35</v>
      </c>
      <c r="M26" t="s">
        <v>73</v>
      </c>
      <c r="N26" t="s">
        <v>99</v>
      </c>
      <c r="O26" t="s">
        <v>74</v>
      </c>
      <c r="P26" t="s">
        <v>75</v>
      </c>
      <c r="R26" s="1">
        <f>$S$17/$R$25</f>
        <v>333542152.67143631</v>
      </c>
      <c r="S26" t="s">
        <v>11</v>
      </c>
      <c r="T26" t="s">
        <v>76</v>
      </c>
      <c r="U26" s="1">
        <f>1/R26</f>
        <v>2.9981218025689063E-9</v>
      </c>
    </row>
    <row r="27" spans="1:22" x14ac:dyDescent="0.3">
      <c r="A27" t="s">
        <v>90</v>
      </c>
      <c r="D27" t="s">
        <v>21</v>
      </c>
      <c r="E27">
        <v>1</v>
      </c>
      <c r="F27" t="s">
        <v>5</v>
      </c>
      <c r="G27" t="s">
        <v>4</v>
      </c>
      <c r="H27" s="1">
        <v>8E+19</v>
      </c>
      <c r="J27" s="1">
        <f>H27*$B$4^4/4/PI()/$B$2^2/$B$5^2/H17^3</f>
        <v>27640.497529591466</v>
      </c>
      <c r="K27" s="1">
        <f>J27*J22</f>
        <v>442988.69914889091</v>
      </c>
    </row>
    <row r="28" spans="1:22" x14ac:dyDescent="0.3">
      <c r="D28" t="s">
        <v>17</v>
      </c>
      <c r="E28">
        <v>1</v>
      </c>
      <c r="H28" s="1">
        <v>1E+27</v>
      </c>
      <c r="J28" s="1">
        <f>H28*$B$4^4/4/PI()/$B$2^2/$B$5^2/H17^3</f>
        <v>345506219119.89325</v>
      </c>
      <c r="K28" s="1">
        <f>J28*J23</f>
        <v>2714358853105.6533</v>
      </c>
    </row>
    <row r="29" spans="1:22" x14ac:dyDescent="0.3">
      <c r="D29" t="s">
        <v>18</v>
      </c>
      <c r="E29">
        <v>0.1</v>
      </c>
      <c r="H29" s="1">
        <v>1E+27</v>
      </c>
      <c r="J29" s="1">
        <f>H29*$B$4^4/4/PI()/$B$2^2/$B$5^2/H18^3</f>
        <v>10925865981720.793</v>
      </c>
      <c r="K29" s="1">
        <f>J29*J24</f>
        <v>48098959422221.125</v>
      </c>
      <c r="N29" t="s">
        <v>79</v>
      </c>
      <c r="O29" t="s">
        <v>77</v>
      </c>
      <c r="P29" s="1">
        <f>B4/4/PI()/B2/T4</f>
        <v>4.9940773384201461E-4</v>
      </c>
      <c r="Q29" t="s">
        <v>78</v>
      </c>
      <c r="R29" t="s">
        <v>80</v>
      </c>
      <c r="S29" s="1">
        <f>P29</f>
        <v>4.9940773384201461E-4</v>
      </c>
    </row>
    <row r="30" spans="1:22" x14ac:dyDescent="0.3">
      <c r="D30" t="s">
        <v>19</v>
      </c>
      <c r="E30">
        <v>0.1</v>
      </c>
      <c r="H30" s="1">
        <v>9.9999999999999998E+23</v>
      </c>
      <c r="J30" s="1">
        <f>H30*$B$4^4/4/PI()/$B$2^2/$B$5^2/H18^3</f>
        <v>10925865981.720793</v>
      </c>
      <c r="K30" s="1">
        <f>J30*J25</f>
        <v>85835563628.562698</v>
      </c>
    </row>
    <row r="31" spans="1:22" x14ac:dyDescent="0.3">
      <c r="J31" t="s">
        <v>91</v>
      </c>
      <c r="K31" t="s">
        <v>92</v>
      </c>
    </row>
    <row r="32" spans="1:22" x14ac:dyDescent="0.3">
      <c r="B32" t="s">
        <v>36</v>
      </c>
    </row>
    <row r="34" spans="1:12" x14ac:dyDescent="0.3">
      <c r="A34" t="s">
        <v>93</v>
      </c>
      <c r="D34" t="s">
        <v>94</v>
      </c>
    </row>
    <row r="35" spans="1:12" x14ac:dyDescent="0.3">
      <c r="C35" t="s">
        <v>95</v>
      </c>
      <c r="D35" t="s">
        <v>37</v>
      </c>
      <c r="E35">
        <v>1</v>
      </c>
      <c r="F35" t="s">
        <v>38</v>
      </c>
      <c r="G35" t="s">
        <v>39</v>
      </c>
      <c r="H35" s="1">
        <f>$B$4/$B$5*E35</f>
        <v>175889328063.24112</v>
      </c>
      <c r="I35" t="s">
        <v>11</v>
      </c>
      <c r="J35" t="s">
        <v>40</v>
      </c>
      <c r="K35" s="1">
        <f>2*PI()/H35</f>
        <v>3.5722379386886186E-11</v>
      </c>
      <c r="L35" t="s">
        <v>41</v>
      </c>
    </row>
    <row r="36" spans="1:12" x14ac:dyDescent="0.3">
      <c r="C36" t="s">
        <v>48</v>
      </c>
      <c r="G36" t="s">
        <v>47</v>
      </c>
      <c r="H36" s="1">
        <f>$B$4/$B$8*E35</f>
        <v>95928143.71257484</v>
      </c>
      <c r="I36" t="s">
        <v>11</v>
      </c>
      <c r="J36" t="s">
        <v>40</v>
      </c>
      <c r="K36" s="1">
        <f>2*PI()/H36</f>
        <v>6.5498873052371477E-8</v>
      </c>
      <c r="L36" t="s">
        <v>41</v>
      </c>
    </row>
    <row r="37" spans="1:12" x14ac:dyDescent="0.3">
      <c r="A37" t="s">
        <v>96</v>
      </c>
    </row>
    <row r="38" spans="1:12" x14ac:dyDescent="0.3">
      <c r="C38" t="s">
        <v>52</v>
      </c>
      <c r="D38" t="s">
        <v>37</v>
      </c>
      <c r="E38">
        <v>1</v>
      </c>
      <c r="F38" t="s">
        <v>38</v>
      </c>
      <c r="G38" t="s">
        <v>3</v>
      </c>
      <c r="H38" t="s">
        <v>42</v>
      </c>
      <c r="I38" s="1" t="s">
        <v>43</v>
      </c>
      <c r="J38" s="1">
        <f>H17/H35</f>
        <v>7.5401546790679065E-5</v>
      </c>
      <c r="K38" t="s">
        <v>6</v>
      </c>
    </row>
    <row r="39" spans="1:12" x14ac:dyDescent="0.3">
      <c r="C39" t="s">
        <v>48</v>
      </c>
      <c r="G39" t="s">
        <v>81</v>
      </c>
      <c r="H39" t="s">
        <v>42</v>
      </c>
      <c r="I39" t="s">
        <v>43</v>
      </c>
      <c r="J39" s="1">
        <f>J38*(B8/B5)^0.5</f>
        <v>3.2286946918582216E-3</v>
      </c>
      <c r="K39" t="s">
        <v>6</v>
      </c>
    </row>
    <row r="40" spans="1:12" x14ac:dyDescent="0.3">
      <c r="A40" t="s">
        <v>53</v>
      </c>
      <c r="C40" t="s">
        <v>52</v>
      </c>
      <c r="D40" t="s">
        <v>37</v>
      </c>
      <c r="E40">
        <v>1</v>
      </c>
      <c r="F40" t="s">
        <v>38</v>
      </c>
      <c r="G40" t="s">
        <v>3</v>
      </c>
      <c r="H40" t="s">
        <v>42</v>
      </c>
      <c r="I40" t="s">
        <v>44</v>
      </c>
      <c r="J40" s="1">
        <f>-$B$5*H17^2/2/$E$40</f>
        <v>-8.0099999999999997E-17</v>
      </c>
      <c r="K40" t="s">
        <v>45</v>
      </c>
    </row>
    <row r="41" spans="1:12" x14ac:dyDescent="0.3">
      <c r="G41" t="s">
        <v>81</v>
      </c>
      <c r="H41" t="s">
        <v>42</v>
      </c>
      <c r="I41" t="s">
        <v>44</v>
      </c>
      <c r="J41" s="1">
        <f>-$B$5*H17^2/2/$E$40</f>
        <v>-8.0099999999999997E-17</v>
      </c>
      <c r="K41" t="s">
        <v>45</v>
      </c>
    </row>
    <row r="42" spans="1:12" x14ac:dyDescent="0.3">
      <c r="A42" t="s">
        <v>46</v>
      </c>
      <c r="C42" s="1">
        <v>9.2699999999999998E-24</v>
      </c>
      <c r="D42" t="s">
        <v>104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limpouch</dc:creator>
  <cp:lastModifiedBy>Limpouch, Jiri</cp:lastModifiedBy>
  <dcterms:created xsi:type="dcterms:W3CDTF">2021-02-13T22:42:28Z</dcterms:created>
  <dcterms:modified xsi:type="dcterms:W3CDTF">2024-02-27T19:46:09Z</dcterms:modified>
</cp:coreProperties>
</file>